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计算" sheetId="4" r:id="rId1"/>
    <sheet name="医保" sheetId="2" r:id="rId2"/>
    <sheet name="Sheet1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<sst xmlns="http://schemas.openxmlformats.org/spreadsheetml/2006/main" count="132" uniqueCount="59">
  <si>
    <t>社会养老保险金计算</t>
  </si>
  <si>
    <t>2023年四川省社平工资</t>
  </si>
  <si>
    <t>月均工资</t>
  </si>
  <si>
    <t>60%档</t>
  </si>
  <si>
    <t>80%档</t>
  </si>
  <si>
    <t>100%档</t>
  </si>
  <si>
    <t>300%档</t>
  </si>
  <si>
    <t>职工社保参保人员月缴费</t>
  </si>
  <si>
    <t>档次</t>
  </si>
  <si>
    <t>企业</t>
  </si>
  <si>
    <t>个人</t>
  </si>
  <si>
    <t>合计缴费</t>
  </si>
  <si>
    <t>灵活就业参保人员月缴费</t>
  </si>
  <si>
    <t>-</t>
  </si>
  <si>
    <t>男60岁退休</t>
  </si>
  <si>
    <t>缴费15年</t>
  </si>
  <si>
    <t>基础养老金</t>
  </si>
  <si>
    <t>个人账户养老金</t>
  </si>
  <si>
    <t>合计</t>
  </si>
  <si>
    <t>缴费16年</t>
  </si>
  <si>
    <t>缴费20年</t>
  </si>
  <si>
    <t>女50岁退休</t>
  </si>
  <si>
    <t>个人养老金</t>
  </si>
  <si>
    <r>
      <t>计算依据：
个人账户养老金=</t>
    </r>
    <r>
      <rPr>
        <sz val="11"/>
        <color theme="1"/>
        <rFont val="宋体"/>
        <charset val="134"/>
        <scheme val="minor"/>
      </rPr>
      <t xml:space="preserve">个人账户储存额÷计发月数(50岁为195、55岁为170、60岁为139，不再统一是120了)
</t>
    </r>
    <r>
      <rPr>
        <b/>
        <sz val="11"/>
        <color theme="1"/>
        <rFont val="宋体"/>
        <charset val="134"/>
        <scheme val="minor"/>
      </rPr>
      <t>基础养老金=</t>
    </r>
    <r>
      <rPr>
        <sz val="11"/>
        <color theme="1"/>
        <rFont val="宋体"/>
        <charset val="134"/>
        <scheme val="minor"/>
      </rPr>
      <t>(全省上年度在岗职工月平均工资+本人指数化月平均缴费工资)÷2×缴费年限×1%  
          = 全省上年度在岗职工月平均工资(1+本人平均缴费指数)÷2×缴费年限×1%</t>
    </r>
  </si>
  <si>
    <r>
      <t>备注：</t>
    </r>
    <r>
      <rPr>
        <sz val="11"/>
        <color theme="1"/>
        <rFont val="宋体"/>
        <charset val="134"/>
        <scheme val="minor"/>
      </rPr>
      <t xml:space="preserve">
1.以上计算不含失业、工伤、医疗等保险费用。
2.以上未考虑工资增加情况。
3.本文仅做参考，具体以当地人社局计算为准。</t>
    </r>
  </si>
  <si>
    <t>2024年度城镇基本医疗保险缴费标准</t>
  </si>
  <si>
    <t>按2023年四川省城镇全部单位就业人员平均工资90220元核定，从2024年6月1日起执行。至下次标准公布后终止执行。</t>
  </si>
  <si>
    <t>单位缴费规则</t>
  </si>
  <si>
    <t>缴费上下限</t>
  </si>
  <si>
    <t>单位缴费基数</t>
  </si>
  <si>
    <t>单位缴费比例</t>
  </si>
  <si>
    <t>测算单位缴费金额（因四舍五入原因，以系统核定为准）</t>
  </si>
  <si>
    <t>个人缴费基数</t>
  </si>
  <si>
    <t>个人缴费比例</t>
  </si>
  <si>
    <t>测算个人缴费金额（因四舍五入原因，以系统核定为准）</t>
  </si>
  <si>
    <t>测算缴费合计（因四舍五入原因，以系统核定为准）</t>
  </si>
  <si>
    <t>普通企业统账结合单位（财政差额拨款单位）</t>
  </si>
  <si>
    <t>下限</t>
  </si>
  <si>
    <t>上限</t>
  </si>
  <si>
    <t>实际申报工资</t>
  </si>
  <si>
    <t>——</t>
  </si>
  <si>
    <t>财政全额拨款单位</t>
  </si>
  <si>
    <t>单建统筹单位</t>
  </si>
  <si>
    <t>灵活就业人员统账结合</t>
  </si>
  <si>
    <t>灵活就业人员单建统筹</t>
  </si>
  <si>
    <r>
      <rPr>
        <sz val="12"/>
        <color theme="1"/>
        <rFont val="宋体"/>
        <charset val="134"/>
        <scheme val="minor"/>
      </rPr>
      <t>注：</t>
    </r>
    <r>
      <rPr>
        <b/>
        <sz val="12"/>
        <color indexed="8"/>
        <rFont val="宋体"/>
        <charset val="134"/>
      </rPr>
      <t>企业及财政差额拨款单位</t>
    </r>
    <r>
      <rPr>
        <sz val="12"/>
        <color theme="1"/>
        <rFont val="宋体"/>
        <charset val="134"/>
        <scheme val="minor"/>
      </rPr>
      <t>：缴费基数为四川省城镇全部单位就业人员平均工资的80%-实际申报工资，缴费比例为9.8%，其中单位缴费比例为7.8%（含：基本医疗保险6.5%、大病保险0.5%、生育保险0.8%）、个人2%。</t>
    </r>
    <r>
      <rPr>
        <b/>
        <sz val="12"/>
        <color indexed="8"/>
        <rFont val="宋体"/>
        <charset val="134"/>
      </rPr>
      <t>财政全额拨款单位</t>
    </r>
    <r>
      <rPr>
        <sz val="12"/>
        <color theme="1"/>
        <rFont val="宋体"/>
        <charset val="134"/>
        <scheme val="minor"/>
      </rPr>
      <t>：缴费基数为四川省城镇全部单位就业人员平均工资的80%-实际申报工资，缴费比例为9.5%，其中单位缴费比例为7.5%（含：基本医疗保险6.5%、大病保险0.5%、生育保险0.5%）、个人2%。</t>
    </r>
    <r>
      <rPr>
        <b/>
        <sz val="12"/>
        <color indexed="8"/>
        <rFont val="宋体"/>
        <charset val="134"/>
      </rPr>
      <t>单建统筹单位</t>
    </r>
    <r>
      <rPr>
        <sz val="12"/>
        <color theme="1"/>
        <rFont val="宋体"/>
        <charset val="134"/>
        <scheme val="minor"/>
      </rPr>
      <t>：缴费基数为四川省城镇全部单位就业人员平均工资的80%-实际申报工资，单位缴费比例为6.3%（含：基本医疗保险5%、大病保险0.5%、生育保险0.8%）、个人不缴费。</t>
    </r>
    <r>
      <rPr>
        <b/>
        <sz val="12"/>
        <color indexed="8"/>
        <rFont val="宋体"/>
        <charset val="134"/>
      </rPr>
      <t>灵活就业人员统账结合、单建统筹：</t>
    </r>
    <r>
      <rPr>
        <sz val="12"/>
        <color theme="1"/>
        <rFont val="宋体"/>
        <charset val="134"/>
        <scheme val="minor"/>
      </rPr>
      <t>缴费基数为缴费基数为四川省城镇全部单位就业人员平均工资的80%，统账结合缴费比例为9%（含：基本医疗保险8.5%、大病保险0.5%）、单建统筹缴费比例为5.5%（含：基本医疗保险5%、大病保险0.5%）。</t>
    </r>
    <r>
      <rPr>
        <b/>
        <sz val="12"/>
        <color indexed="8"/>
        <rFont val="宋体"/>
        <charset val="134"/>
      </rPr>
      <t>城乡居民医疗保险</t>
    </r>
    <r>
      <rPr>
        <sz val="12"/>
        <color theme="1"/>
        <rFont val="宋体"/>
        <charset val="134"/>
        <scheme val="minor"/>
      </rPr>
      <t>2024年度缴费标准为380元/人。</t>
    </r>
  </si>
  <si>
    <r>
      <rPr>
        <sz val="10.5"/>
        <color rgb="FF000000"/>
        <rFont val="宋体"/>
        <charset val="134"/>
      </rPr>
      <t>养老金</t>
    </r>
    <r>
      <rPr>
        <sz val="10.5"/>
        <color rgb="FF000000"/>
        <rFont val="宋体"/>
        <charset val="134"/>
      </rPr>
      <t>=</t>
    </r>
    <r>
      <rPr>
        <sz val="10.5"/>
        <color rgb="FF000000"/>
        <rFont val="宋体"/>
        <charset val="134"/>
      </rPr>
      <t>基础养老金</t>
    </r>
    <r>
      <rPr>
        <sz val="10.5"/>
        <color rgb="FF000000"/>
        <rFont val="宋体"/>
        <charset val="134"/>
      </rPr>
      <t>+</t>
    </r>
    <r>
      <rPr>
        <sz val="10.5"/>
        <color rgb="FF000000"/>
        <rFont val="宋体"/>
        <charset val="134"/>
      </rPr>
      <t>个人账户养老金</t>
    </r>
  </si>
  <si>
    <r>
      <t>　</t>
    </r>
    <r>
      <rPr>
        <b/>
        <sz val="10.5"/>
        <color rgb="FF000000"/>
        <rFont val="宋体"/>
        <charset val="134"/>
      </rPr>
      <t>　个人账户养老金=</t>
    </r>
    <r>
      <rPr>
        <sz val="10.5"/>
        <color rgb="FF000000"/>
        <rFont val="宋体"/>
        <charset val="134"/>
      </rPr>
      <t xml:space="preserve">个人账户储存额÷计发月数(50岁为195、55岁为170、60岁为139，不再统一是120了)
    </t>
    </r>
    <r>
      <rPr>
        <b/>
        <sz val="10.5"/>
        <color rgb="FF000000"/>
        <rFont val="宋体"/>
        <charset val="134"/>
      </rPr>
      <t>基础养老金=</t>
    </r>
    <r>
      <rPr>
        <sz val="10.5"/>
        <color rgb="FF000000"/>
        <rFont val="宋体"/>
        <charset val="134"/>
      </rPr>
      <t>(全省上年度在岗职工月平均工资+本人指数化月平均缴费工资)÷2×缴费年限×1%  
           = 全省上年度在岗职工月平均工资(1+本人平均缴费指数)÷2×缴费年限×1%</t>
    </r>
  </si>
  <si>
    <t>　　注：本人指数化月平均缴费工资=全省上年度在岗职工月平均工资×本人平均缴费指数</t>
  </si>
  <si>
    <r>
      <rPr>
        <sz val="10.5"/>
        <color rgb="FF000000"/>
        <rFont val="宋体"/>
        <charset val="134"/>
      </rPr>
      <t>　　例如：根据上述公式，假定男职工在</t>
    </r>
    <r>
      <rPr>
        <sz val="10.5"/>
        <color rgb="FF000000"/>
        <rFont val="宋体"/>
        <charset val="134"/>
      </rPr>
      <t>60</t>
    </r>
    <r>
      <rPr>
        <sz val="10.5"/>
        <color rgb="FF000000"/>
        <rFont val="宋体"/>
        <charset val="134"/>
      </rPr>
      <t>岁退休时，全省上年度在岗职工月平均工资为</t>
    </r>
    <r>
      <rPr>
        <sz val="10.5"/>
        <color rgb="FF000000"/>
        <rFont val="宋体"/>
        <charset val="134"/>
      </rPr>
      <t>4000</t>
    </r>
    <r>
      <rPr>
        <sz val="10.5"/>
        <color rgb="FF000000"/>
        <rFont val="宋体"/>
        <charset val="134"/>
      </rPr>
      <t>元。</t>
    </r>
  </si>
  <si>
    <r>
      <rPr>
        <sz val="10.5"/>
        <color rgb="FF000000"/>
        <rFont val="宋体"/>
        <charset val="134"/>
      </rPr>
      <t>　　累计缴费年限为</t>
    </r>
    <r>
      <rPr>
        <sz val="10.5"/>
        <color rgb="FF000000"/>
        <rFont val="宋体"/>
        <charset val="134"/>
      </rPr>
      <t>15</t>
    </r>
    <r>
      <rPr>
        <sz val="10.5"/>
        <color rgb="FF000000"/>
        <rFont val="宋体"/>
        <charset val="134"/>
      </rPr>
      <t>年时，</t>
    </r>
  </si>
  <si>
    <r>
      <rPr>
        <sz val="10.5"/>
        <color rgb="FF000000"/>
        <rFont val="宋体"/>
        <charset val="134"/>
      </rPr>
      <t>　　个人平均缴费基数为</t>
    </r>
    <r>
      <rPr>
        <sz val="10.5"/>
        <color rgb="FF000000"/>
        <rFont val="宋体"/>
        <charset val="134"/>
      </rPr>
      <t>0.6</t>
    </r>
    <r>
      <rPr>
        <sz val="10.5"/>
        <color rgb="FF000000"/>
        <rFont val="宋体"/>
        <charset val="134"/>
      </rPr>
      <t>时，基础养老金</t>
    </r>
    <r>
      <rPr>
        <sz val="10.5"/>
        <color rgb="FF000000"/>
        <rFont val="宋体"/>
        <charset val="134"/>
      </rPr>
      <t>=(4000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宋体"/>
        <charset val="134"/>
      </rPr>
      <t>+4000</t>
    </r>
    <r>
      <rPr>
        <sz val="10.5"/>
        <color rgb="FF000000"/>
        <rFont val="宋体"/>
        <charset val="134"/>
      </rPr>
      <t>元×</t>
    </r>
    <r>
      <rPr>
        <sz val="10.5"/>
        <color rgb="FF000000"/>
        <rFont val="宋体"/>
        <charset val="134"/>
      </rPr>
      <t>0.6)</t>
    </r>
    <r>
      <rPr>
        <sz val="10.5"/>
        <color rgb="FF000000"/>
        <rFont val="宋体"/>
        <charset val="134"/>
      </rPr>
      <t>÷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15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1%=480</t>
    </r>
    <r>
      <rPr>
        <sz val="10.5"/>
        <color rgb="FF000000"/>
        <rFont val="宋体"/>
        <charset val="134"/>
      </rPr>
      <t>元</t>
    </r>
  </si>
  <si>
    <r>
      <rPr>
        <sz val="10.5"/>
        <color rgb="FF000000"/>
        <rFont val="宋体"/>
        <charset val="134"/>
      </rPr>
      <t>　　个人平均缴费基数为</t>
    </r>
    <r>
      <rPr>
        <sz val="10.5"/>
        <color rgb="FF000000"/>
        <rFont val="宋体"/>
        <charset val="134"/>
      </rPr>
      <t>1.0</t>
    </r>
    <r>
      <rPr>
        <sz val="10.5"/>
        <color rgb="FF000000"/>
        <rFont val="宋体"/>
        <charset val="134"/>
      </rPr>
      <t>时，基础养老金</t>
    </r>
    <r>
      <rPr>
        <sz val="10.5"/>
        <color rgb="FF000000"/>
        <rFont val="宋体"/>
        <charset val="134"/>
      </rPr>
      <t>=(4000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宋体"/>
        <charset val="134"/>
      </rPr>
      <t>+4000</t>
    </r>
    <r>
      <rPr>
        <sz val="10.5"/>
        <color rgb="FF000000"/>
        <rFont val="宋体"/>
        <charset val="134"/>
      </rPr>
      <t>元×</t>
    </r>
    <r>
      <rPr>
        <sz val="10.5"/>
        <color rgb="FF000000"/>
        <rFont val="宋体"/>
        <charset val="134"/>
      </rPr>
      <t>1.0)</t>
    </r>
    <r>
      <rPr>
        <sz val="10.5"/>
        <color rgb="FF000000"/>
        <rFont val="宋体"/>
        <charset val="134"/>
      </rPr>
      <t>÷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15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1%=600</t>
    </r>
    <r>
      <rPr>
        <sz val="10.5"/>
        <color rgb="FF000000"/>
        <rFont val="宋体"/>
        <charset val="134"/>
      </rPr>
      <t>元</t>
    </r>
  </si>
  <si>
    <r>
      <rPr>
        <sz val="10.5"/>
        <color rgb="FF000000"/>
        <rFont val="宋体"/>
        <charset val="134"/>
      </rPr>
      <t>　　个人平均缴费基数为</t>
    </r>
    <r>
      <rPr>
        <sz val="10.5"/>
        <color rgb="FF000000"/>
        <rFont val="宋体"/>
        <charset val="134"/>
      </rPr>
      <t>3.0</t>
    </r>
    <r>
      <rPr>
        <sz val="10.5"/>
        <color rgb="FF000000"/>
        <rFont val="宋体"/>
        <charset val="134"/>
      </rPr>
      <t>时，基础养老金</t>
    </r>
    <r>
      <rPr>
        <sz val="10.5"/>
        <color rgb="FF000000"/>
        <rFont val="宋体"/>
        <charset val="134"/>
      </rPr>
      <t>=(4000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宋体"/>
        <charset val="134"/>
      </rPr>
      <t>+4000</t>
    </r>
    <r>
      <rPr>
        <sz val="10.5"/>
        <color rgb="FF000000"/>
        <rFont val="宋体"/>
        <charset val="134"/>
      </rPr>
      <t>元×</t>
    </r>
    <r>
      <rPr>
        <sz val="10.5"/>
        <color rgb="FF000000"/>
        <rFont val="宋体"/>
        <charset val="134"/>
      </rPr>
      <t>3.0)</t>
    </r>
    <r>
      <rPr>
        <sz val="10.5"/>
        <color rgb="FF000000"/>
        <rFont val="宋体"/>
        <charset val="134"/>
      </rPr>
      <t>÷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15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1%=1200</t>
    </r>
    <r>
      <rPr>
        <sz val="10.5"/>
        <color rgb="FF000000"/>
        <rFont val="宋体"/>
        <charset val="134"/>
      </rPr>
      <t>元</t>
    </r>
  </si>
  <si>
    <r>
      <rPr>
        <sz val="10.5"/>
        <color rgb="FF000000"/>
        <rFont val="宋体"/>
        <charset val="134"/>
      </rPr>
      <t>　　累计缴费年限为</t>
    </r>
    <r>
      <rPr>
        <sz val="10.5"/>
        <color rgb="FF000000"/>
        <rFont val="宋体"/>
        <charset val="134"/>
      </rPr>
      <t>40</t>
    </r>
    <r>
      <rPr>
        <sz val="10.5"/>
        <color rgb="FF000000"/>
        <rFont val="宋体"/>
        <charset val="134"/>
      </rPr>
      <t>年时，</t>
    </r>
  </si>
  <si>
    <r>
      <rPr>
        <sz val="10.5"/>
        <color rgb="FF000000"/>
        <rFont val="宋体"/>
        <charset val="134"/>
      </rPr>
      <t>　　个人平均缴费基数为</t>
    </r>
    <r>
      <rPr>
        <sz val="10.5"/>
        <color rgb="FF000000"/>
        <rFont val="宋体"/>
        <charset val="134"/>
      </rPr>
      <t>0.6</t>
    </r>
    <r>
      <rPr>
        <sz val="10.5"/>
        <color rgb="FF000000"/>
        <rFont val="宋体"/>
        <charset val="134"/>
      </rPr>
      <t>时，基础养老金</t>
    </r>
    <r>
      <rPr>
        <sz val="10.5"/>
        <color rgb="FF000000"/>
        <rFont val="宋体"/>
        <charset val="134"/>
      </rPr>
      <t>=(4000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宋体"/>
        <charset val="134"/>
      </rPr>
      <t>+4000</t>
    </r>
    <r>
      <rPr>
        <sz val="10.5"/>
        <color rgb="FF000000"/>
        <rFont val="宋体"/>
        <charset val="134"/>
      </rPr>
      <t>元×</t>
    </r>
    <r>
      <rPr>
        <sz val="10.5"/>
        <color rgb="FF000000"/>
        <rFont val="宋体"/>
        <charset val="134"/>
      </rPr>
      <t>0.6)</t>
    </r>
    <r>
      <rPr>
        <sz val="10.5"/>
        <color rgb="FF000000"/>
        <rFont val="宋体"/>
        <charset val="134"/>
      </rPr>
      <t>÷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40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1%=1280</t>
    </r>
    <r>
      <rPr>
        <sz val="10.5"/>
        <color rgb="FF000000"/>
        <rFont val="宋体"/>
        <charset val="134"/>
      </rPr>
      <t>元</t>
    </r>
  </si>
  <si>
    <r>
      <rPr>
        <sz val="10.5"/>
        <color rgb="FF000000"/>
        <rFont val="宋体"/>
        <charset val="134"/>
      </rPr>
      <t>　　个人平均缴费基数为</t>
    </r>
    <r>
      <rPr>
        <sz val="10.5"/>
        <color rgb="FF000000"/>
        <rFont val="宋体"/>
        <charset val="134"/>
      </rPr>
      <t>1.0</t>
    </r>
    <r>
      <rPr>
        <sz val="10.5"/>
        <color rgb="FF000000"/>
        <rFont val="宋体"/>
        <charset val="134"/>
      </rPr>
      <t>时，基础养老金</t>
    </r>
    <r>
      <rPr>
        <sz val="10.5"/>
        <color rgb="FF000000"/>
        <rFont val="宋体"/>
        <charset val="134"/>
      </rPr>
      <t>=(4000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宋体"/>
        <charset val="134"/>
      </rPr>
      <t>+4000</t>
    </r>
    <r>
      <rPr>
        <sz val="10.5"/>
        <color rgb="FF000000"/>
        <rFont val="宋体"/>
        <charset val="134"/>
      </rPr>
      <t>元×</t>
    </r>
    <r>
      <rPr>
        <sz val="10.5"/>
        <color rgb="FF000000"/>
        <rFont val="宋体"/>
        <charset val="134"/>
      </rPr>
      <t>1.0)</t>
    </r>
    <r>
      <rPr>
        <sz val="10.5"/>
        <color rgb="FF000000"/>
        <rFont val="宋体"/>
        <charset val="134"/>
      </rPr>
      <t>÷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40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1%=1600</t>
    </r>
    <r>
      <rPr>
        <sz val="10.5"/>
        <color rgb="FF000000"/>
        <rFont val="宋体"/>
        <charset val="134"/>
      </rPr>
      <t>元</t>
    </r>
  </si>
  <si>
    <r>
      <rPr>
        <sz val="10.5"/>
        <color rgb="FF000000"/>
        <rFont val="宋体"/>
        <charset val="134"/>
      </rPr>
      <t>　　个人平均缴费基数为</t>
    </r>
    <r>
      <rPr>
        <sz val="10.5"/>
        <color rgb="FF000000"/>
        <rFont val="宋体"/>
        <charset val="134"/>
      </rPr>
      <t>3.0</t>
    </r>
    <r>
      <rPr>
        <sz val="10.5"/>
        <color rgb="FF000000"/>
        <rFont val="宋体"/>
        <charset val="134"/>
      </rPr>
      <t>时，基础养老金</t>
    </r>
    <r>
      <rPr>
        <sz val="10.5"/>
        <color rgb="FF000000"/>
        <rFont val="宋体"/>
        <charset val="134"/>
      </rPr>
      <t>=(4000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宋体"/>
        <charset val="134"/>
      </rPr>
      <t>+4000</t>
    </r>
    <r>
      <rPr>
        <sz val="10.5"/>
        <color rgb="FF000000"/>
        <rFont val="宋体"/>
        <charset val="134"/>
      </rPr>
      <t>元×</t>
    </r>
    <r>
      <rPr>
        <sz val="10.5"/>
        <color rgb="FF000000"/>
        <rFont val="宋体"/>
        <charset val="134"/>
      </rPr>
      <t>3.0)</t>
    </r>
    <r>
      <rPr>
        <sz val="10.5"/>
        <color rgb="FF000000"/>
        <rFont val="宋体"/>
        <charset val="134"/>
      </rPr>
      <t>÷</t>
    </r>
    <r>
      <rPr>
        <sz val="10.5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40</t>
    </r>
    <r>
      <rPr>
        <sz val="10.5"/>
        <color rgb="FF000000"/>
        <rFont val="宋体"/>
        <charset val="134"/>
      </rPr>
      <t>×</t>
    </r>
    <r>
      <rPr>
        <sz val="10.5"/>
        <color rgb="FF000000"/>
        <rFont val="宋体"/>
        <charset val="134"/>
      </rPr>
      <t>1%=3200</t>
    </r>
    <r>
      <rPr>
        <sz val="10.5"/>
        <color rgb="FF000000"/>
        <rFont val="宋体"/>
        <charset val="134"/>
      </rPr>
      <t>元</t>
    </r>
  </si>
  <si>
    <r>
      <rPr>
        <sz val="10.5"/>
        <color rgb="FF000000"/>
        <rFont val="宋体"/>
        <charset val="134"/>
      </rPr>
      <t>个人养老金</t>
    </r>
    <r>
      <rPr>
        <sz val="10.5"/>
        <color rgb="FF000000"/>
        <rFont val="宋体"/>
        <charset val="134"/>
      </rPr>
      <t>=</t>
    </r>
    <r>
      <rPr>
        <sz val="10.5"/>
        <color rgb="FF000000"/>
        <rFont val="宋体"/>
        <charset val="134"/>
      </rPr>
      <t>基础养老金</t>
    </r>
    <r>
      <rPr>
        <sz val="10.5"/>
        <color rgb="FF000000"/>
        <rFont val="宋体"/>
        <charset val="134"/>
      </rPr>
      <t>+</t>
    </r>
    <r>
      <rPr>
        <sz val="10.5"/>
        <color rgb="FF000000"/>
        <rFont val="宋体"/>
        <charset val="134"/>
      </rPr>
      <t>个人账户养老金</t>
    </r>
    <r>
      <rPr>
        <sz val="10.5"/>
        <color rgb="FF000000"/>
        <rFont val="宋体"/>
        <charset val="134"/>
      </rPr>
      <t>=</t>
    </r>
    <r>
      <rPr>
        <sz val="10.5"/>
        <color rgb="FF000000"/>
        <rFont val="宋体"/>
        <charset val="134"/>
      </rPr>
      <t>基础养老金</t>
    </r>
    <r>
      <rPr>
        <sz val="10.5"/>
        <color rgb="FF000000"/>
        <rFont val="宋体"/>
        <charset val="134"/>
      </rPr>
      <t>+</t>
    </r>
    <r>
      <rPr>
        <sz val="10.5"/>
        <color rgb="FF000000"/>
        <rFont val="宋体"/>
        <charset val="134"/>
      </rPr>
      <t>个人账户储存额÷</t>
    </r>
    <r>
      <rPr>
        <sz val="10.5"/>
        <color rgb="FF000000"/>
        <rFont val="宋体"/>
        <charset val="134"/>
      </rPr>
      <t>139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</si>
</sst>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#,##0.00_ "/>
  </numFmts>
  <fonts count="30">
    <font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10.5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justify" vertical="center" wrapText="1"/>
    </xf>
    <xf numFmtId="0" fontId="1" fillId="2" borderId="0" xfId="0" applyFont="1" applyFill="1" applyAlignment="1">
      <alignment horizontal="justify" vertical="center" wrapText="1"/>
    </xf>
    <xf numFmtId="0" fontId="1" fillId="3" borderId="0" xfId="0" applyFont="1" applyFill="1" applyAlignment="1">
      <alignment horizontal="justify" vertical="center" wrapText="1"/>
    </xf>
    <xf numFmtId="176" fontId="2" fillId="0" borderId="0" xfId="0" applyNumberFormat="1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176" fontId="0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176" fontId="6" fillId="0" borderId="0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178" fontId="0" fillId="0" borderId="0" xfId="0" applyNumberForma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178" fontId="0" fillId="0" borderId="1" xfId="0" applyNumberFormat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3" borderId="1" xfId="0" applyNumberFormat="1" applyFill="1" applyBorder="1" applyAlignment="1">
      <alignment horizontal="center" vertical="center"/>
    </xf>
    <xf numFmtId="178" fontId="0" fillId="0" borderId="1" xfId="0" applyNumberFormat="1" applyBorder="1">
      <alignment vertical="center"/>
    </xf>
    <xf numFmtId="9" fontId="0" fillId="0" borderId="1" xfId="0" applyNumberFormat="1" applyBorder="1" applyAlignment="1">
      <alignment horizontal="right" vertical="center"/>
    </xf>
    <xf numFmtId="9" fontId="0" fillId="0" borderId="0" xfId="0" applyNumberFormat="1">
      <alignment vertical="center"/>
    </xf>
    <xf numFmtId="0" fontId="7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178" fontId="7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L72"/>
  <sheetViews>
    <sheetView tabSelected="1" topLeftCell="B56" workbookViewId="0">
      <selection activeCell="C1" sqref="C1:I58"/>
    </sheetView>
  </sheetViews>
  <sheetFormatPr defaultColWidth="9" defaultRowHeight="13.5"/>
  <cols>
    <col min="3" max="3" width="6.375" customWidth="1"/>
    <col min="4" max="4" width="14" customWidth="1"/>
    <col min="5" max="5" width="14.5" customWidth="1"/>
    <col min="6" max="6" width="15" customWidth="1"/>
    <col min="7" max="8" width="11.625" customWidth="1"/>
    <col min="9" max="9" width="7.25" customWidth="1"/>
    <col min="10" max="12" width="10.375" style="34" customWidth="1"/>
  </cols>
  <sheetData>
    <row r="2" ht="31" customHeight="1" spans="4:8">
      <c r="D2" s="35" t="s">
        <v>0</v>
      </c>
      <c r="E2" s="36"/>
      <c r="F2" s="36"/>
      <c r="G2" s="36"/>
      <c r="H2" s="36"/>
    </row>
    <row r="4" s="32" customFormat="1" ht="17" customHeight="1" spans="4:12">
      <c r="D4" s="37" t="s">
        <v>1</v>
      </c>
      <c r="E4" s="37"/>
      <c r="F4" s="38">
        <v>90220</v>
      </c>
      <c r="G4" s="39"/>
      <c r="H4" s="40"/>
      <c r="J4" s="57"/>
      <c r="K4" s="57"/>
      <c r="L4" s="57"/>
    </row>
    <row r="5" spans="4:8">
      <c r="D5" s="41" t="s">
        <v>2</v>
      </c>
      <c r="E5" s="42" t="s">
        <v>3</v>
      </c>
      <c r="F5" s="42" t="s">
        <v>4</v>
      </c>
      <c r="G5" s="42" t="s">
        <v>5</v>
      </c>
      <c r="H5" s="41" t="s">
        <v>6</v>
      </c>
    </row>
    <row r="6" s="33" customFormat="1" spans="4:12">
      <c r="D6" s="43">
        <f>+F4/12</f>
        <v>7518.33333333333</v>
      </c>
      <c r="E6" s="43">
        <f>+D6*0.6</f>
        <v>4511</v>
      </c>
      <c r="F6" s="43">
        <f>+D6*0.8</f>
        <v>6014.66666666667</v>
      </c>
      <c r="G6" s="43">
        <f>+D6</f>
        <v>7518.33333333333</v>
      </c>
      <c r="H6" s="41">
        <f>+D6*3</f>
        <v>22555</v>
      </c>
      <c r="J6" s="49"/>
      <c r="K6" s="49"/>
      <c r="L6" s="49"/>
    </row>
    <row r="8" spans="4:8">
      <c r="D8" s="44" t="s">
        <v>7</v>
      </c>
      <c r="E8" s="44"/>
      <c r="F8" s="44"/>
      <c r="G8" s="44"/>
      <c r="H8" s="44"/>
    </row>
    <row r="9" spans="4:12">
      <c r="D9" s="45" t="s">
        <v>8</v>
      </c>
      <c r="E9" s="41" t="s">
        <v>9</v>
      </c>
      <c r="F9" s="46" t="s">
        <v>10</v>
      </c>
      <c r="G9" s="46" t="s">
        <v>11</v>
      </c>
      <c r="I9" s="34"/>
      <c r="L9"/>
    </row>
    <row r="10" spans="4:12">
      <c r="D10" s="45" t="s">
        <v>3</v>
      </c>
      <c r="E10" s="46">
        <v>902.2</v>
      </c>
      <c r="F10" s="46">
        <v>360.88</v>
      </c>
      <c r="G10" s="47">
        <v>1263.08</v>
      </c>
      <c r="I10" s="34"/>
      <c r="L10"/>
    </row>
    <row r="11" spans="4:12">
      <c r="D11" s="45" t="s">
        <v>4</v>
      </c>
      <c r="E11" s="46">
        <v>1202.93333333333</v>
      </c>
      <c r="F11" s="46">
        <v>481.173333333334</v>
      </c>
      <c r="G11" s="46">
        <v>1684.10666666667</v>
      </c>
      <c r="I11" s="34"/>
      <c r="L11"/>
    </row>
    <row r="12" spans="4:12">
      <c r="D12" s="45" t="s">
        <v>5</v>
      </c>
      <c r="E12" s="46">
        <v>1503.66666666667</v>
      </c>
      <c r="F12" s="46">
        <v>601.466666666666</v>
      </c>
      <c r="G12" s="46">
        <v>2105.13333333333</v>
      </c>
      <c r="I12" s="34"/>
      <c r="L12"/>
    </row>
    <row r="13" spans="4:12">
      <c r="D13" s="45" t="s">
        <v>6</v>
      </c>
      <c r="E13" s="46">
        <v>4511</v>
      </c>
      <c r="F13" s="46">
        <v>1804.4</v>
      </c>
      <c r="G13" s="46">
        <v>6315.4</v>
      </c>
      <c r="I13" s="34"/>
      <c r="L13"/>
    </row>
    <row r="14" spans="5:12">
      <c r="E14" s="48"/>
      <c r="F14" s="49"/>
      <c r="G14" s="49"/>
      <c r="I14" s="34"/>
      <c r="L14"/>
    </row>
    <row r="15" customFormat="1" spans="4:12">
      <c r="D15" s="44" t="s">
        <v>12</v>
      </c>
      <c r="E15" s="44"/>
      <c r="F15" s="44"/>
      <c r="G15" s="44"/>
      <c r="H15" s="44"/>
      <c r="J15" s="34"/>
      <c r="K15" s="34"/>
      <c r="L15" s="34"/>
    </row>
    <row r="16" customFormat="1" spans="4:11">
      <c r="D16" s="45" t="s">
        <v>8</v>
      </c>
      <c r="E16" s="41" t="s">
        <v>9</v>
      </c>
      <c r="F16" s="46" t="s">
        <v>10</v>
      </c>
      <c r="G16" s="46" t="s">
        <v>11</v>
      </c>
      <c r="I16" s="34"/>
      <c r="J16" s="34"/>
      <c r="K16" s="34"/>
    </row>
    <row r="17" customFormat="1" spans="4:11">
      <c r="D17" s="45" t="s">
        <v>3</v>
      </c>
      <c r="E17" s="42" t="s">
        <v>13</v>
      </c>
      <c r="F17" s="46">
        <f>+E6*0.2</f>
        <v>902.2</v>
      </c>
      <c r="G17" s="46">
        <f>+F17</f>
        <v>902.2</v>
      </c>
      <c r="I17" s="34"/>
      <c r="J17" s="34"/>
      <c r="K17" s="34"/>
    </row>
    <row r="18" customFormat="1" spans="4:11">
      <c r="D18" s="45" t="s">
        <v>4</v>
      </c>
      <c r="E18" s="42" t="s">
        <v>13</v>
      </c>
      <c r="F18" s="50">
        <f>+F6*0.2</f>
        <v>1202.93333333333</v>
      </c>
      <c r="G18" s="46">
        <f>+F18</f>
        <v>1202.93333333333</v>
      </c>
      <c r="I18" s="34"/>
      <c r="J18" s="34"/>
      <c r="K18" s="34"/>
    </row>
    <row r="19" customFormat="1" spans="4:11">
      <c r="D19" s="45" t="s">
        <v>5</v>
      </c>
      <c r="E19" s="42" t="s">
        <v>13</v>
      </c>
      <c r="F19" s="46">
        <f>+G6*0.2</f>
        <v>1503.66666666667</v>
      </c>
      <c r="G19" s="46">
        <f>+F19</f>
        <v>1503.66666666667</v>
      </c>
      <c r="I19" s="34"/>
      <c r="J19" s="34"/>
      <c r="K19" s="34"/>
    </row>
    <row r="20" customFormat="1" spans="4:11">
      <c r="D20" s="45" t="s">
        <v>6</v>
      </c>
      <c r="E20" s="42" t="s">
        <v>13</v>
      </c>
      <c r="F20" s="46">
        <f>+H6*0.2</f>
        <v>4511</v>
      </c>
      <c r="G20" s="46">
        <f>+F20</f>
        <v>4511</v>
      </c>
      <c r="I20" s="34"/>
      <c r="J20" s="34"/>
      <c r="K20" s="34"/>
    </row>
    <row r="21" spans="5:12">
      <c r="E21" s="48"/>
      <c r="F21" s="49"/>
      <c r="G21" s="49"/>
      <c r="I21" s="34"/>
      <c r="L21"/>
    </row>
    <row r="22" spans="4:12">
      <c r="D22" s="32" t="s">
        <v>14</v>
      </c>
      <c r="J22"/>
      <c r="K22"/>
      <c r="L22"/>
    </row>
    <row r="23" spans="4:12">
      <c r="D23" s="45" t="s">
        <v>15</v>
      </c>
      <c r="E23" s="46" t="s">
        <v>16</v>
      </c>
      <c r="F23" s="51" t="s">
        <v>17</v>
      </c>
      <c r="G23" s="46" t="s">
        <v>18</v>
      </c>
      <c r="H23" s="34"/>
      <c r="J23"/>
      <c r="K23"/>
      <c r="L23"/>
    </row>
    <row r="24" spans="4:12">
      <c r="D24" s="52" t="s">
        <v>3</v>
      </c>
      <c r="E24" s="46">
        <f>+($D$6+$D$6*0.6)/2*15*1%</f>
        <v>902.2</v>
      </c>
      <c r="F24" s="46">
        <f>+$D$6*0.6*0.08*12*15/139</f>
        <v>467.326618705036</v>
      </c>
      <c r="G24" s="47">
        <f t="shared" ref="G24:G27" si="0">+F24+E24</f>
        <v>1369.52661870504</v>
      </c>
      <c r="H24" s="34"/>
      <c r="J24"/>
      <c r="K24"/>
      <c r="L24"/>
    </row>
    <row r="25" spans="4:12">
      <c r="D25" s="52" t="s">
        <v>4</v>
      </c>
      <c r="E25" s="50">
        <f>+($D$6+$D$6*0.8)/2*15*1%</f>
        <v>1014.975</v>
      </c>
      <c r="F25" s="46">
        <f>+$D$6*0.8*0.08*12*15/139</f>
        <v>623.102158273381</v>
      </c>
      <c r="G25" s="46">
        <f t="shared" si="0"/>
        <v>1638.07715827338</v>
      </c>
      <c r="H25" s="34"/>
      <c r="J25"/>
      <c r="K25"/>
      <c r="L25"/>
    </row>
    <row r="26" spans="4:12">
      <c r="D26" s="52" t="s">
        <v>5</v>
      </c>
      <c r="E26" s="46">
        <f>+($D$6+$D$6*1)/2*15*1%</f>
        <v>1127.75</v>
      </c>
      <c r="F26" s="46">
        <f>+$D$6*1*0.08*12*15/139</f>
        <v>778.877697841727</v>
      </c>
      <c r="G26" s="46">
        <f t="shared" si="0"/>
        <v>1906.62769784173</v>
      </c>
      <c r="H26" s="34"/>
      <c r="J26"/>
      <c r="K26"/>
      <c r="L26"/>
    </row>
    <row r="27" spans="4:12">
      <c r="D27" s="52" t="s">
        <v>6</v>
      </c>
      <c r="E27" s="46">
        <f>+($D$6+$D$6*3)/2*15*1%</f>
        <v>2255.5</v>
      </c>
      <c r="F27" s="46">
        <f>+$D$6*3*0.08*12*15/139</f>
        <v>2336.63309352518</v>
      </c>
      <c r="G27" s="46">
        <f t="shared" si="0"/>
        <v>4592.13309352518</v>
      </c>
      <c r="H27" s="34"/>
      <c r="J27"/>
      <c r="K27"/>
      <c r="L27"/>
    </row>
    <row r="28" spans="4:12">
      <c r="D28" s="45" t="s">
        <v>19</v>
      </c>
      <c r="E28" s="46"/>
      <c r="F28" s="46"/>
      <c r="G28" s="46"/>
      <c r="H28" s="34"/>
      <c r="J28"/>
      <c r="K28"/>
      <c r="L28"/>
    </row>
    <row r="29" spans="4:12">
      <c r="D29" s="52" t="s">
        <v>3</v>
      </c>
      <c r="E29" s="46">
        <f>+($D$6+$D$6*0.6)/2*16*1%</f>
        <v>962.346666666667</v>
      </c>
      <c r="F29" s="46">
        <f>+$D$6*0.6*0.08*12*16/139</f>
        <v>498.481726618705</v>
      </c>
      <c r="G29" s="46">
        <f t="shared" ref="G29:G32" si="1">+F29+E29</f>
        <v>1460.82839328537</v>
      </c>
      <c r="H29" s="34"/>
      <c r="J29"/>
      <c r="K29"/>
      <c r="L29"/>
    </row>
    <row r="30" spans="4:12">
      <c r="D30" s="52" t="s">
        <v>4</v>
      </c>
      <c r="E30" s="46">
        <f>+($D$6+$D$6*0.8)/2*16*1%</f>
        <v>1082.64</v>
      </c>
      <c r="F30" s="46">
        <f>+$D$6*0.8*0.08*12*16/139</f>
        <v>664.642302158273</v>
      </c>
      <c r="G30" s="46">
        <f t="shared" si="1"/>
        <v>1747.28230215827</v>
      </c>
      <c r="H30" s="34"/>
      <c r="J30"/>
      <c r="K30"/>
      <c r="L30"/>
    </row>
    <row r="31" spans="4:12">
      <c r="D31" s="52" t="s">
        <v>5</v>
      </c>
      <c r="E31" s="46">
        <f>+($D$6+$D$6*1)/2*16*1%</f>
        <v>1202.93333333333</v>
      </c>
      <c r="F31" s="46">
        <f>+$D$6*1*0.08*12*16/139</f>
        <v>830.802877697841</v>
      </c>
      <c r="G31" s="46">
        <f t="shared" si="1"/>
        <v>2033.73621103117</v>
      </c>
      <c r="H31" s="34"/>
      <c r="J31"/>
      <c r="K31"/>
      <c r="L31"/>
    </row>
    <row r="32" spans="4:8">
      <c r="D32" s="52" t="s">
        <v>6</v>
      </c>
      <c r="E32" s="46">
        <f>+($D$6+$D$6*3)/2*16*1%</f>
        <v>2405.86666666667</v>
      </c>
      <c r="F32" s="46">
        <f>+$D$6*3*0.08*12*16/139</f>
        <v>2492.40863309352</v>
      </c>
      <c r="G32" s="46">
        <f t="shared" si="1"/>
        <v>4898.27529976019</v>
      </c>
      <c r="H32" s="34"/>
    </row>
    <row r="33" spans="4:8">
      <c r="D33" s="45" t="s">
        <v>20</v>
      </c>
      <c r="E33" s="46"/>
      <c r="F33" s="46"/>
      <c r="G33" s="46"/>
      <c r="H33" s="34"/>
    </row>
    <row r="34" spans="4:8">
      <c r="D34" s="52" t="s">
        <v>3</v>
      </c>
      <c r="E34" s="46">
        <f>+($D$6+$D$6*0.6)/2*20*1%</f>
        <v>1202.93333333333</v>
      </c>
      <c r="F34" s="46">
        <f>+$D$6*0.6*0.08*12*20/139</f>
        <v>623.102158273381</v>
      </c>
      <c r="G34" s="46">
        <f t="shared" ref="G34:G37" si="2">+F34+E34</f>
        <v>1826.03549160671</v>
      </c>
      <c r="H34" s="34"/>
    </row>
    <row r="35" spans="4:8">
      <c r="D35" s="52" t="s">
        <v>4</v>
      </c>
      <c r="E35" s="46">
        <f>+($D$6+$D$6*0.8)/2*20*1%</f>
        <v>1353.3</v>
      </c>
      <c r="F35" s="46">
        <f>+$D$6*0.8*0.08*12*20/139</f>
        <v>830.802877697842</v>
      </c>
      <c r="G35" s="46">
        <f t="shared" si="2"/>
        <v>2184.10287769784</v>
      </c>
      <c r="H35" s="34"/>
    </row>
    <row r="36" spans="4:8">
      <c r="D36" s="52" t="s">
        <v>5</v>
      </c>
      <c r="E36" s="46">
        <f>+($D$6+$D$6*1)/2*20*1%</f>
        <v>1503.66666666667</v>
      </c>
      <c r="F36" s="46">
        <f>+$D$6*1*0.08*12*20/139</f>
        <v>1038.5035971223</v>
      </c>
      <c r="G36" s="46">
        <f t="shared" si="2"/>
        <v>2542.17026378897</v>
      </c>
      <c r="H36" s="34"/>
    </row>
    <row r="37" spans="4:8">
      <c r="D37" s="52" t="s">
        <v>6</v>
      </c>
      <c r="E37" s="46">
        <f>+($D$6+$D$6*3)/2*20*1%</f>
        <v>3007.33333333333</v>
      </c>
      <c r="F37" s="46">
        <f>+$D$6*3*0.08*12*20/139</f>
        <v>3115.51079136691</v>
      </c>
      <c r="G37" s="46">
        <f t="shared" si="2"/>
        <v>6122.84412470024</v>
      </c>
      <c r="H37" s="34"/>
    </row>
    <row r="38" spans="4:8">
      <c r="D38" s="53"/>
      <c r="E38" s="49"/>
      <c r="F38" s="49"/>
      <c r="G38" s="49"/>
      <c r="H38" s="34"/>
    </row>
    <row r="39" spans="4:8">
      <c r="D39" s="32" t="s">
        <v>21</v>
      </c>
      <c r="E39" s="49"/>
      <c r="F39" s="49"/>
      <c r="G39" s="49"/>
      <c r="H39" s="34"/>
    </row>
    <row r="40" spans="4:8">
      <c r="D40" s="45" t="s">
        <v>15</v>
      </c>
      <c r="E40" s="46" t="s">
        <v>16</v>
      </c>
      <c r="F40" s="46" t="s">
        <v>22</v>
      </c>
      <c r="G40" s="46" t="s">
        <v>18</v>
      </c>
      <c r="H40" s="34"/>
    </row>
    <row r="41" spans="4:8">
      <c r="D41" s="52" t="s">
        <v>3</v>
      </c>
      <c r="E41" s="46">
        <f>+($D$6+$D$6*0.6)/2*15*1%</f>
        <v>902.2</v>
      </c>
      <c r="F41" s="46">
        <f>+$D$6*0.6*0.08*12*15/195</f>
        <v>333.12</v>
      </c>
      <c r="G41" s="47">
        <f t="shared" ref="G41:G44" si="3">+F41+E41</f>
        <v>1235.32</v>
      </c>
      <c r="H41" s="34"/>
    </row>
    <row r="42" spans="4:8">
      <c r="D42" s="52" t="s">
        <v>4</v>
      </c>
      <c r="E42" s="50">
        <f>+($D$6+$D$6*0.8)/2*15*1%</f>
        <v>1014.975</v>
      </c>
      <c r="F42" s="46">
        <f>+$D$6*0.8*0.08*12*15/195</f>
        <v>444.16</v>
      </c>
      <c r="G42" s="46">
        <f t="shared" si="3"/>
        <v>1459.135</v>
      </c>
      <c r="H42" s="34"/>
    </row>
    <row r="43" spans="4:8">
      <c r="D43" s="52" t="s">
        <v>5</v>
      </c>
      <c r="E43" s="46">
        <f>+($D$6+$D$6*1)/2*15*1%</f>
        <v>1127.75</v>
      </c>
      <c r="F43" s="46">
        <f>+$D$6*1*0.08*12*15/195</f>
        <v>555.2</v>
      </c>
      <c r="G43" s="46">
        <f t="shared" si="3"/>
        <v>1682.95</v>
      </c>
      <c r="H43" s="34"/>
    </row>
    <row r="44" spans="4:8">
      <c r="D44" s="52" t="s">
        <v>6</v>
      </c>
      <c r="E44" s="46">
        <f>+($D$6+$D$6*3)/2*15*1%</f>
        <v>2255.5</v>
      </c>
      <c r="F44" s="46">
        <f>+$D$6*3*0.08*12*15/195</f>
        <v>1665.6</v>
      </c>
      <c r="G44" s="46">
        <f t="shared" si="3"/>
        <v>3921.1</v>
      </c>
      <c r="H44" s="34"/>
    </row>
    <row r="45" spans="4:8">
      <c r="D45" s="45" t="s">
        <v>19</v>
      </c>
      <c r="E45" s="46"/>
      <c r="F45" s="46"/>
      <c r="G45" s="46"/>
      <c r="H45" s="34"/>
    </row>
    <row r="46" spans="4:8">
      <c r="D46" s="52" t="s">
        <v>3</v>
      </c>
      <c r="E46" s="46">
        <f>+($D$6+$D$6*0.6)/2*16*1%</f>
        <v>962.346666666667</v>
      </c>
      <c r="F46" s="46">
        <f>+$D$6*0.6*0.08*12*16/195</f>
        <v>355.328</v>
      </c>
      <c r="G46" s="46">
        <f t="shared" ref="G46:G49" si="4">+F46+E46</f>
        <v>1317.67466666667</v>
      </c>
      <c r="H46" s="34"/>
    </row>
    <row r="47" spans="4:8">
      <c r="D47" s="52" t="s">
        <v>4</v>
      </c>
      <c r="E47" s="46">
        <f>+($D$6+$D$6*0.8)/2*16*1%</f>
        <v>1082.64</v>
      </c>
      <c r="F47" s="46">
        <f>+$D$6*0.8*0.08*12*16/195</f>
        <v>473.770666666667</v>
      </c>
      <c r="G47" s="46">
        <f t="shared" si="4"/>
        <v>1556.41066666667</v>
      </c>
      <c r="H47" s="34"/>
    </row>
    <row r="48" spans="4:8">
      <c r="D48" s="52" t="s">
        <v>5</v>
      </c>
      <c r="E48" s="46">
        <f>+($D$6+$D$6*1)/2*16*1%</f>
        <v>1202.93333333333</v>
      </c>
      <c r="F48" s="46">
        <f>+$D$6*1*0.08*12*16/195</f>
        <v>592.213333333333</v>
      </c>
      <c r="G48" s="46">
        <f t="shared" si="4"/>
        <v>1795.14666666666</v>
      </c>
      <c r="H48" s="34"/>
    </row>
    <row r="49" spans="4:8">
      <c r="D49" s="52" t="s">
        <v>6</v>
      </c>
      <c r="E49" s="46">
        <f>+($D$6+$D$6*3)/2*16*1%</f>
        <v>2405.86666666667</v>
      </c>
      <c r="F49" s="46">
        <f>+$D$6*3*0.08*12*16/195</f>
        <v>1776.64</v>
      </c>
      <c r="G49" s="46">
        <f t="shared" si="4"/>
        <v>4182.50666666667</v>
      </c>
      <c r="H49" s="34"/>
    </row>
    <row r="50" spans="4:8">
      <c r="D50" s="45" t="s">
        <v>20</v>
      </c>
      <c r="E50" s="46"/>
      <c r="F50" s="46"/>
      <c r="G50" s="46"/>
      <c r="H50" s="34"/>
    </row>
    <row r="51" spans="4:8">
      <c r="D51" s="52" t="s">
        <v>3</v>
      </c>
      <c r="E51" s="46">
        <f>+($D$6+$D$6*0.6)/2*20*1%</f>
        <v>1202.93333333333</v>
      </c>
      <c r="F51" s="46">
        <f>+$D$6*0.6*0.08*12*20/195</f>
        <v>444.16</v>
      </c>
      <c r="G51" s="46">
        <f t="shared" ref="G51:G54" si="5">+F51+E51</f>
        <v>1647.09333333333</v>
      </c>
      <c r="H51" s="34"/>
    </row>
    <row r="52" spans="4:8">
      <c r="D52" s="52" t="s">
        <v>4</v>
      </c>
      <c r="E52" s="46">
        <f>+($D$6+$D$6*0.8)/2*20*1%</f>
        <v>1353.3</v>
      </c>
      <c r="F52" s="46">
        <f>+$D$6*0.8*0.08*12*20/195</f>
        <v>592.213333333333</v>
      </c>
      <c r="G52" s="46">
        <f t="shared" si="5"/>
        <v>1945.51333333333</v>
      </c>
      <c r="H52" s="34"/>
    </row>
    <row r="53" spans="4:8">
      <c r="D53" s="52" t="s">
        <v>5</v>
      </c>
      <c r="E53" s="46">
        <f>+($D$6+$D$6*1)/2*20*1%</f>
        <v>1503.66666666667</v>
      </c>
      <c r="F53" s="46">
        <f>+$D$6*1*0.08*12*20/195</f>
        <v>740.266666666667</v>
      </c>
      <c r="G53" s="46">
        <f t="shared" si="5"/>
        <v>2243.93333333334</v>
      </c>
      <c r="H53" s="34"/>
    </row>
    <row r="54" spans="4:8">
      <c r="D54" s="52" t="s">
        <v>6</v>
      </c>
      <c r="E54" s="46">
        <f>+($D$6+$D$6*3)/2*20*1%</f>
        <v>3007.33333333333</v>
      </c>
      <c r="F54" s="46">
        <f>+$D$6*3*0.08*12*20/195</f>
        <v>2220.8</v>
      </c>
      <c r="G54" s="46">
        <f t="shared" si="5"/>
        <v>5228.13333333333</v>
      </c>
      <c r="H54" s="34"/>
    </row>
    <row r="55" spans="5:8">
      <c r="E55" s="34"/>
      <c r="F55" s="34"/>
      <c r="G55" s="34"/>
      <c r="H55" s="34"/>
    </row>
    <row r="56" ht="135" customHeight="1" spans="4:8">
      <c r="D56" s="54" t="s">
        <v>23</v>
      </c>
      <c r="E56" s="55"/>
      <c r="F56" s="55"/>
      <c r="G56" s="55"/>
      <c r="H56" s="55"/>
    </row>
    <row r="57" spans="5:8">
      <c r="E57" s="34"/>
      <c r="F57" s="34"/>
      <c r="G57" s="34"/>
      <c r="H57" s="34"/>
    </row>
    <row r="58" ht="95" customHeight="1" spans="4:8">
      <c r="D58" s="54" t="s">
        <v>24</v>
      </c>
      <c r="E58" s="56"/>
      <c r="F58" s="56"/>
      <c r="G58" s="56"/>
      <c r="H58" s="56"/>
    </row>
    <row r="59" spans="5:8">
      <c r="E59" s="34"/>
      <c r="F59" s="34"/>
      <c r="G59" s="34"/>
      <c r="H59" s="34"/>
    </row>
    <row r="60" spans="5:8">
      <c r="E60" s="34"/>
      <c r="F60" s="34"/>
      <c r="G60" s="34"/>
      <c r="H60" s="34"/>
    </row>
    <row r="61" spans="5:8">
      <c r="E61" s="34"/>
      <c r="F61" s="34"/>
      <c r="G61" s="34"/>
      <c r="H61" s="34"/>
    </row>
    <row r="62" spans="5:8">
      <c r="E62" s="34"/>
      <c r="F62" s="34"/>
      <c r="G62" s="34"/>
      <c r="H62" s="34"/>
    </row>
    <row r="63" spans="5:8">
      <c r="E63" s="34"/>
      <c r="F63" s="34"/>
      <c r="G63" s="34"/>
      <c r="H63" s="34"/>
    </row>
    <row r="64" spans="5:8">
      <c r="E64" s="34"/>
      <c r="F64" s="34"/>
      <c r="G64" s="34"/>
      <c r="H64" s="34"/>
    </row>
    <row r="65" spans="5:8">
      <c r="E65" s="34"/>
      <c r="F65" s="34"/>
      <c r="G65" s="34"/>
      <c r="H65" s="34"/>
    </row>
    <row r="66" spans="5:8">
      <c r="E66" s="34"/>
      <c r="F66" s="34"/>
      <c r="G66" s="34"/>
      <c r="H66" s="34"/>
    </row>
    <row r="67" spans="5:8">
      <c r="E67" s="34"/>
      <c r="F67" s="34"/>
      <c r="G67" s="34"/>
      <c r="H67" s="34"/>
    </row>
    <row r="68" spans="5:8">
      <c r="E68" s="34"/>
      <c r="F68" s="34"/>
      <c r="G68" s="34"/>
      <c r="H68" s="34"/>
    </row>
    <row r="69" spans="5:8">
      <c r="E69" s="34"/>
      <c r="F69" s="34"/>
      <c r="G69" s="34"/>
      <c r="H69" s="34"/>
    </row>
    <row r="70" spans="5:8">
      <c r="E70" s="34"/>
      <c r="F70" s="34"/>
      <c r="G70" s="34"/>
      <c r="H70" s="34"/>
    </row>
    <row r="71" spans="5:8">
      <c r="E71" s="34"/>
      <c r="F71" s="34"/>
      <c r="G71" s="34"/>
      <c r="H71" s="34"/>
    </row>
    <row r="72" spans="5:8">
      <c r="E72" s="34"/>
      <c r="F72" s="34"/>
      <c r="G72" s="34"/>
      <c r="H72" s="34"/>
    </row>
  </sheetData>
  <mergeCells count="7">
    <mergeCell ref="D2:H2"/>
    <mergeCell ref="D4:E4"/>
    <mergeCell ref="F4:H4"/>
    <mergeCell ref="D8:H8"/>
    <mergeCell ref="D15:H15"/>
    <mergeCell ref="D56:H56"/>
    <mergeCell ref="D58:H5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selection activeCell="L7" sqref="L7"/>
    </sheetView>
  </sheetViews>
  <sheetFormatPr defaultColWidth="9" defaultRowHeight="13.5"/>
  <cols>
    <col min="1" max="1" width="16.125" style="9" customWidth="1"/>
    <col min="2" max="2" width="9.75" style="9" customWidth="1"/>
    <col min="3" max="3" width="11" style="12" customWidth="1"/>
    <col min="4" max="4" width="10.875" style="9" customWidth="1"/>
    <col min="5" max="5" width="18.25" style="13" customWidth="1"/>
    <col min="6" max="6" width="12" style="9" customWidth="1"/>
    <col min="7" max="7" width="9.875" style="9" customWidth="1"/>
    <col min="8" max="8" width="17.25" style="9" customWidth="1"/>
    <col min="9" max="9" width="16.75" style="13" customWidth="1"/>
    <col min="10" max="11" width="9" style="9"/>
    <col min="12" max="12" width="12.625" style="9"/>
    <col min="13" max="16384" width="9" style="9"/>
  </cols>
  <sheetData>
    <row r="1" s="9" customFormat="1" ht="30" customHeight="1" spans="1:9">
      <c r="A1" s="14" t="s">
        <v>25</v>
      </c>
      <c r="B1" s="14"/>
      <c r="C1" s="15"/>
      <c r="D1" s="14"/>
      <c r="E1" s="16"/>
      <c r="F1" s="14"/>
      <c r="G1" s="14"/>
      <c r="H1" s="14"/>
      <c r="I1" s="16"/>
    </row>
    <row r="2" s="10" customFormat="1" ht="28" customHeight="1" spans="1:9">
      <c r="A2" s="17" t="s">
        <v>26</v>
      </c>
      <c r="B2" s="17"/>
      <c r="C2" s="17"/>
      <c r="D2" s="17"/>
      <c r="E2" s="18"/>
      <c r="F2" s="17"/>
      <c r="G2" s="17"/>
      <c r="H2" s="17"/>
      <c r="I2" s="18"/>
    </row>
    <row r="3" s="11" customFormat="1" ht="70" customHeight="1" spans="1:9">
      <c r="A3" s="19" t="s">
        <v>27</v>
      </c>
      <c r="B3" s="19" t="s">
        <v>28</v>
      </c>
      <c r="C3" s="19" t="s">
        <v>29</v>
      </c>
      <c r="D3" s="19" t="s">
        <v>30</v>
      </c>
      <c r="E3" s="20" t="s">
        <v>31</v>
      </c>
      <c r="F3" s="19" t="s">
        <v>32</v>
      </c>
      <c r="G3" s="19" t="s">
        <v>33</v>
      </c>
      <c r="H3" s="20" t="s">
        <v>34</v>
      </c>
      <c r="I3" s="20" t="s">
        <v>35</v>
      </c>
    </row>
    <row r="4" s="10" customFormat="1" ht="27" customHeight="1" spans="1:10">
      <c r="A4" s="21" t="s">
        <v>36</v>
      </c>
      <c r="B4" s="19" t="s">
        <v>37</v>
      </c>
      <c r="C4" s="19">
        <v>6015</v>
      </c>
      <c r="D4" s="22">
        <v>0.078</v>
      </c>
      <c r="E4" s="23">
        <f t="shared" ref="E4:E8" si="0">C4*D4</f>
        <v>469.17</v>
      </c>
      <c r="F4" s="22">
        <v>6015</v>
      </c>
      <c r="G4" s="22">
        <v>0.02</v>
      </c>
      <c r="H4" s="22">
        <f>F4*G4</f>
        <v>120.3</v>
      </c>
      <c r="I4" s="23">
        <f>E4+H4</f>
        <v>589.47</v>
      </c>
      <c r="J4" s="31"/>
    </row>
    <row r="5" s="10" customFormat="1" ht="33" customHeight="1" spans="1:9">
      <c r="A5" s="24"/>
      <c r="B5" s="19" t="s">
        <v>38</v>
      </c>
      <c r="C5" s="19" t="s">
        <v>39</v>
      </c>
      <c r="D5" s="22">
        <v>0.078</v>
      </c>
      <c r="E5" s="22" t="s">
        <v>40</v>
      </c>
      <c r="F5" s="19" t="s">
        <v>39</v>
      </c>
      <c r="G5" s="22">
        <v>0.02</v>
      </c>
      <c r="H5" s="22" t="s">
        <v>40</v>
      </c>
      <c r="I5" s="22" t="s">
        <v>40</v>
      </c>
    </row>
    <row r="6" s="10" customFormat="1" ht="25" customHeight="1" spans="1:9">
      <c r="A6" s="21" t="s">
        <v>41</v>
      </c>
      <c r="B6" s="19" t="s">
        <v>37</v>
      </c>
      <c r="C6" s="19">
        <v>6015</v>
      </c>
      <c r="D6" s="22">
        <v>0.075</v>
      </c>
      <c r="E6" s="23">
        <f t="shared" si="0"/>
        <v>451.125</v>
      </c>
      <c r="F6" s="22">
        <v>6015</v>
      </c>
      <c r="G6" s="22">
        <v>0.02</v>
      </c>
      <c r="H6" s="22">
        <f t="shared" ref="H6:H11" si="1">F6*G6</f>
        <v>120.3</v>
      </c>
      <c r="I6" s="23">
        <f>E6+H6</f>
        <v>571.425</v>
      </c>
    </row>
    <row r="7" s="10" customFormat="1" ht="33" customHeight="1" spans="1:9">
      <c r="A7" s="24"/>
      <c r="B7" s="19" t="s">
        <v>38</v>
      </c>
      <c r="C7" s="19" t="s">
        <v>39</v>
      </c>
      <c r="D7" s="22">
        <v>0.075</v>
      </c>
      <c r="E7" s="22" t="s">
        <v>40</v>
      </c>
      <c r="F7" s="19" t="s">
        <v>39</v>
      </c>
      <c r="G7" s="22">
        <v>0.02</v>
      </c>
      <c r="H7" s="22" t="s">
        <v>40</v>
      </c>
      <c r="I7" s="22" t="s">
        <v>40</v>
      </c>
    </row>
    <row r="8" s="10" customFormat="1" ht="25" customHeight="1" spans="1:9">
      <c r="A8" s="25" t="s">
        <v>42</v>
      </c>
      <c r="B8" s="19" t="s">
        <v>37</v>
      </c>
      <c r="C8" s="19">
        <v>6015</v>
      </c>
      <c r="D8" s="22">
        <v>0.063</v>
      </c>
      <c r="E8" s="23">
        <f t="shared" si="0"/>
        <v>378.945</v>
      </c>
      <c r="F8" s="23" t="s">
        <v>40</v>
      </c>
      <c r="G8" s="23" t="s">
        <v>40</v>
      </c>
      <c r="H8" s="23" t="s">
        <v>40</v>
      </c>
      <c r="I8" s="23">
        <f>E8</f>
        <v>378.945</v>
      </c>
    </row>
    <row r="9" s="10" customFormat="1" ht="33" customHeight="1" spans="1:9">
      <c r="A9" s="26"/>
      <c r="B9" s="19" t="s">
        <v>38</v>
      </c>
      <c r="C9" s="19" t="s">
        <v>39</v>
      </c>
      <c r="D9" s="22">
        <v>0.063</v>
      </c>
      <c r="E9" s="22" t="s">
        <v>40</v>
      </c>
      <c r="F9" s="23" t="s">
        <v>40</v>
      </c>
      <c r="G9" s="23" t="s">
        <v>40</v>
      </c>
      <c r="H9" s="23" t="s">
        <v>40</v>
      </c>
      <c r="I9" s="23" t="s">
        <v>40</v>
      </c>
    </row>
    <row r="10" s="10" customFormat="1" ht="33" customHeight="1" spans="1:9">
      <c r="A10" s="19" t="s">
        <v>43</v>
      </c>
      <c r="B10" s="19" t="s">
        <v>40</v>
      </c>
      <c r="C10" s="19" t="s">
        <v>40</v>
      </c>
      <c r="D10" s="22" t="s">
        <v>40</v>
      </c>
      <c r="E10" s="23" t="s">
        <v>40</v>
      </c>
      <c r="F10" s="22">
        <v>6015</v>
      </c>
      <c r="G10" s="22">
        <v>0.09</v>
      </c>
      <c r="H10" s="22">
        <f t="shared" si="1"/>
        <v>541.35</v>
      </c>
      <c r="I10" s="22">
        <f>H10</f>
        <v>541.35</v>
      </c>
    </row>
    <row r="11" s="10" customFormat="1" ht="33" customHeight="1" spans="1:9">
      <c r="A11" s="19" t="s">
        <v>44</v>
      </c>
      <c r="B11" s="19" t="s">
        <v>40</v>
      </c>
      <c r="C11" s="19" t="s">
        <v>40</v>
      </c>
      <c r="D11" s="22" t="s">
        <v>40</v>
      </c>
      <c r="E11" s="23" t="s">
        <v>40</v>
      </c>
      <c r="F11" s="22">
        <v>6015</v>
      </c>
      <c r="G11" s="22">
        <v>0.055</v>
      </c>
      <c r="H11" s="23">
        <f t="shared" si="1"/>
        <v>330.825</v>
      </c>
      <c r="I11" s="23">
        <f>H11</f>
        <v>330.825</v>
      </c>
    </row>
    <row r="12" s="10" customFormat="1" ht="127" customHeight="1" spans="1:9">
      <c r="A12" s="27" t="s">
        <v>45</v>
      </c>
      <c r="B12" s="27"/>
      <c r="C12" s="27"/>
      <c r="D12" s="27"/>
      <c r="E12" s="27"/>
      <c r="F12" s="27"/>
      <c r="G12" s="27"/>
      <c r="H12" s="27"/>
      <c r="I12" s="27"/>
    </row>
    <row r="13" s="9" customFormat="1" ht="18.75" spans="1:9">
      <c r="A13" s="28"/>
      <c r="B13" s="28"/>
      <c r="C13" s="29"/>
      <c r="D13" s="28"/>
      <c r="E13" s="30"/>
      <c r="F13" s="28"/>
      <c r="G13" s="28"/>
      <c r="H13" s="28"/>
      <c r="I13" s="30"/>
    </row>
    <row r="14" s="9" customFormat="1" ht="18.75" spans="1:9">
      <c r="A14" s="28"/>
      <c r="B14" s="28"/>
      <c r="C14" s="29"/>
      <c r="D14" s="28"/>
      <c r="E14" s="30"/>
      <c r="F14" s="28"/>
      <c r="G14" s="28"/>
      <c r="H14" s="28"/>
      <c r="I14" s="30"/>
    </row>
    <row r="15" s="9" customFormat="1" ht="18.75" spans="1:9">
      <c r="A15" s="28"/>
      <c r="B15" s="28"/>
      <c r="C15" s="29"/>
      <c r="D15" s="28"/>
      <c r="E15" s="30"/>
      <c r="F15" s="28"/>
      <c r="G15" s="28"/>
      <c r="H15" s="28"/>
      <c r="I15" s="30"/>
    </row>
    <row r="16" s="9" customFormat="1" ht="18.75" spans="1:9">
      <c r="A16" s="28"/>
      <c r="B16" s="28"/>
      <c r="C16" s="29"/>
      <c r="D16" s="28"/>
      <c r="E16" s="30"/>
      <c r="F16" s="28"/>
      <c r="G16" s="28"/>
      <c r="H16" s="28"/>
      <c r="I16" s="30"/>
    </row>
    <row r="17" s="9" customFormat="1" ht="18.75" spans="1:9">
      <c r="A17" s="28"/>
      <c r="B17" s="28"/>
      <c r="C17" s="29"/>
      <c r="D17" s="28"/>
      <c r="E17" s="30"/>
      <c r="F17" s="28"/>
      <c r="G17" s="28"/>
      <c r="H17" s="28"/>
      <c r="I17" s="30"/>
    </row>
    <row r="18" s="9" customFormat="1" ht="18.75" spans="1:9">
      <c r="A18" s="28"/>
      <c r="B18" s="28"/>
      <c r="C18" s="29"/>
      <c r="D18" s="28"/>
      <c r="E18" s="30"/>
      <c r="F18" s="28"/>
      <c r="G18" s="28"/>
      <c r="H18" s="28"/>
      <c r="I18" s="30"/>
    </row>
    <row r="19" s="9" customFormat="1" ht="18.75" spans="1:9">
      <c r="A19" s="28"/>
      <c r="B19" s="28"/>
      <c r="C19" s="29"/>
      <c r="D19" s="28"/>
      <c r="E19" s="30"/>
      <c r="F19" s="28"/>
      <c r="G19" s="28"/>
      <c r="H19" s="28"/>
      <c r="I19" s="30"/>
    </row>
    <row r="20" s="9" customFormat="1" ht="18.75" spans="1:9">
      <c r="A20" s="28"/>
      <c r="B20" s="28"/>
      <c r="C20" s="29"/>
      <c r="D20" s="28"/>
      <c r="E20" s="30"/>
      <c r="F20" s="28"/>
      <c r="G20" s="28"/>
      <c r="H20" s="28"/>
      <c r="I20" s="30"/>
    </row>
    <row r="21" s="9" customFormat="1" ht="18.75" spans="1:9">
      <c r="A21" s="28"/>
      <c r="B21" s="28"/>
      <c r="C21" s="29"/>
      <c r="D21" s="28"/>
      <c r="E21" s="30"/>
      <c r="F21" s="28"/>
      <c r="G21" s="28"/>
      <c r="H21" s="28"/>
      <c r="I21" s="30"/>
    </row>
  </sheetData>
  <mergeCells count="6">
    <mergeCell ref="A1:I1"/>
    <mergeCell ref="A2:I2"/>
    <mergeCell ref="A12:I12"/>
    <mergeCell ref="A4:A5"/>
    <mergeCell ref="A6:A7"/>
    <mergeCell ref="A8:A9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E50"/>
  <sheetViews>
    <sheetView topLeftCell="B1" workbookViewId="0">
      <selection activeCell="C5" sqref="C5"/>
    </sheetView>
  </sheetViews>
  <sheetFormatPr defaultColWidth="9" defaultRowHeight="13.5" outlineLevelCol="4"/>
  <cols>
    <col min="3" max="3" width="84" customWidth="1"/>
    <col min="4" max="4" width="12.625" style="1"/>
  </cols>
  <sheetData>
    <row r="3" spans="3:3">
      <c r="C3" s="2" t="s">
        <v>46</v>
      </c>
    </row>
    <row r="4" spans="3:3">
      <c r="C4" s="2"/>
    </row>
    <row r="5" ht="145" customHeight="1" spans="3:3">
      <c r="C5" s="2" t="s">
        <v>47</v>
      </c>
    </row>
    <row r="6" spans="3:3">
      <c r="C6" s="2"/>
    </row>
    <row r="7" ht="45" customHeight="1" spans="3:3">
      <c r="C7" s="2" t="s">
        <v>48</v>
      </c>
    </row>
    <row r="8" spans="3:3">
      <c r="C8" s="2"/>
    </row>
    <row r="10" spans="3:3">
      <c r="C10" s="2"/>
    </row>
    <row r="11" spans="3:3">
      <c r="C11" s="3" t="s">
        <v>49</v>
      </c>
    </row>
    <row r="12" spans="3:3">
      <c r="C12" s="2"/>
    </row>
    <row r="13" spans="3:4">
      <c r="C13" s="4" t="s">
        <v>50</v>
      </c>
      <c r="D13" s="5"/>
    </row>
    <row r="14" spans="3:4">
      <c r="C14" s="2"/>
      <c r="D14" s="5"/>
    </row>
    <row r="15" spans="3:4">
      <c r="C15" s="2" t="s">
        <v>51</v>
      </c>
      <c r="D15" s="5"/>
    </row>
    <row r="16" spans="3:4">
      <c r="C16" s="2"/>
      <c r="D16" s="5"/>
    </row>
    <row r="17" spans="3:4">
      <c r="C17" s="2" t="s">
        <v>52</v>
      </c>
      <c r="D17" s="5"/>
    </row>
    <row r="18" spans="3:4">
      <c r="C18" s="2"/>
      <c r="D18" s="5"/>
    </row>
    <row r="19" spans="3:4">
      <c r="C19" s="2" t="s">
        <v>53</v>
      </c>
      <c r="D19" s="5"/>
    </row>
    <row r="20" spans="3:4">
      <c r="C20" s="2"/>
      <c r="D20" s="5"/>
    </row>
    <row r="21" spans="3:4">
      <c r="C21" s="4" t="s">
        <v>54</v>
      </c>
      <c r="D21" s="5"/>
    </row>
    <row r="22" spans="3:4">
      <c r="C22" s="2"/>
      <c r="D22" s="5"/>
    </row>
    <row r="23" spans="3:4">
      <c r="C23" s="2" t="s">
        <v>55</v>
      </c>
      <c r="D23" s="5"/>
    </row>
    <row r="24" spans="3:4">
      <c r="C24" s="2"/>
      <c r="D24" s="5"/>
    </row>
    <row r="25" spans="3:4">
      <c r="C25" s="2" t="s">
        <v>56</v>
      </c>
      <c r="D25" s="5"/>
    </row>
    <row r="26" spans="3:4">
      <c r="C26" s="2"/>
      <c r="D26" s="5"/>
    </row>
    <row r="27" spans="3:4">
      <c r="C27" s="2" t="s">
        <v>57</v>
      </c>
      <c r="D27" s="5"/>
    </row>
    <row r="28" spans="3:4">
      <c r="C28" s="2"/>
      <c r="D28" s="5"/>
    </row>
    <row r="29" spans="3:4">
      <c r="C29" s="2"/>
      <c r="D29" s="5"/>
    </row>
    <row r="30" spans="3:3">
      <c r="C30" s="2" t="s">
        <v>58</v>
      </c>
    </row>
    <row r="31" spans="3:3">
      <c r="C31" s="2"/>
    </row>
    <row r="32" spans="3:3">
      <c r="C32" s="2"/>
    </row>
    <row r="39" spans="5:5">
      <c r="E39" s="6"/>
    </row>
    <row r="41" spans="5:5">
      <c r="E41" s="6"/>
    </row>
    <row r="43" spans="5:5">
      <c r="E43" s="6"/>
    </row>
    <row r="45" spans="5:5">
      <c r="E45" s="7"/>
    </row>
    <row r="47" spans="5:5">
      <c r="E47" s="7"/>
    </row>
    <row r="50" ht="199" customHeight="1" spans="5:5">
      <c r="E50" s="8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计算</vt:lpstr>
      <vt:lpstr>医保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风清炀</cp:lastModifiedBy>
  <dcterms:created xsi:type="dcterms:W3CDTF">2023-05-12T11:15:00Z</dcterms:created>
  <dcterms:modified xsi:type="dcterms:W3CDTF">2024-07-29T04:54:19Z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16803271E4A94AC0B660EF37F5DF70BF_12</vt:lpwstr>
  </property>
</Properties>
</file>